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PROFESSOR" sheetId="1" r:id="rId1"/>
  </sheets>
  <externalReferences>
    <externalReference r:id="rId4"/>
    <externalReference r:id="rId5"/>
  </externalReferences>
  <definedNames>
    <definedName name="N__Alunos_EF_99">#REF!</definedName>
    <definedName name="RENDMUNIC" localSheetId="0">#REF!</definedName>
    <definedName name="RENDMUNIC">#REF!</definedName>
  </definedNames>
  <calcPr fullCalcOnLoad="1"/>
</workbook>
</file>

<file path=xl/sharedStrings.xml><?xml version="1.0" encoding="utf-8"?>
<sst xmlns="http://schemas.openxmlformats.org/spreadsheetml/2006/main" count="95" uniqueCount="41">
  <si>
    <t>TABELA  ANEXO I LEI 11/2011 - MARÇO/2024</t>
  </si>
  <si>
    <t>CARGO</t>
  </si>
  <si>
    <t>Carga Horaria Semanal</t>
  </si>
  <si>
    <t>NIVEL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</si>
  <si>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</si>
  <si>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</si>
  <si>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</si>
  <si>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</si>
  <si>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</si>
  <si>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</si>
  <si>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</si>
  <si>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</si>
  <si>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</si>
  <si>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</si>
  <si>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</si>
  <si>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</si>
  <si>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</si>
  <si>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</si>
  <si>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</si>
  <si>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</si>
  <si>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</si>
  <si>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</si>
  <si>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Código</t>
  </si>
  <si>
    <t>VAGAS</t>
  </si>
  <si>
    <t>2021</t>
  </si>
  <si>
    <t xml:space="preserve">PROFESSOR </t>
  </si>
  <si>
    <t>NP2 = (NP1 + 10%) LICENCIATURA PLENA</t>
  </si>
  <si>
    <t>NP3 = (NP2 + 10%) LICENCIATURA PLEN + PÓS</t>
  </si>
  <si>
    <t>NP4 =(NP3 + 15%) MESTRADO ou DOUTOURADO</t>
  </si>
  <si>
    <t>PROFESSOR DE EDUCAÇÃO FÍSICA</t>
  </si>
  <si>
    <t>TABELA  ANEXO II LEI 11/2011 - MARÇO/2024</t>
  </si>
  <si>
    <t>PROFESSOR DE EDUCAÇÃO INFANTIL</t>
  </si>
  <si>
    <t>40:00</t>
  </si>
  <si>
    <t>NPA - MAGISTÉRIO</t>
  </si>
  <si>
    <t>NPB -LICENCIATURA PLENA</t>
  </si>
  <si>
    <t>NPC - LICENC. PLENA + PÓS GRAD.</t>
  </si>
  <si>
    <t>TABELA  ANEXO III LEI 11/2011 - JANEIRO/2022</t>
  </si>
  <si>
    <t>PROFESSOR ESPECIAL ( Extinto)</t>
  </si>
  <si>
    <t>20:00</t>
  </si>
  <si>
    <t>NP1  - MAGISTÉRIO</t>
  </si>
  <si>
    <t>Janeiro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</si>
</sst>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Ebrima"/>
      <family val="0"/>
    </font>
    <font>
      <sz val="7"/>
      <name val="Ebrima"/>
      <family val="0"/>
    </font>
    <font>
      <sz val="10"/>
      <name val="Ebrima"/>
      <family val="0"/>
    </font>
    <font>
      <b/>
      <sz val="10"/>
      <name val="Ebrima"/>
      <family val="0"/>
    </font>
    <font>
      <b/>
      <i/>
      <sz val="10"/>
      <name val="Ebrima"/>
      <family val="0"/>
    </font>
    <font>
      <b/>
      <sz val="8"/>
      <name val="Ebrima"/>
      <family val="0"/>
    </font>
    <font>
      <sz val="8"/>
      <name val="Ebrim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double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5" fillId="31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4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 quotePrefix="1">
      <alignment horizontal="center"/>
    </xf>
    <xf numFmtId="0" fontId="5" fillId="33" borderId="11" xfId="0" applyFont="1" applyFill="1" applyBorder="1" applyAlignment="1" quotePrefix="1">
      <alignment horizontal="center"/>
    </xf>
    <xf numFmtId="49" fontId="5" fillId="33" borderId="11" xfId="0" applyNumberFormat="1" applyFont="1" applyFill="1" applyBorder="1" applyAlignment="1" quotePrefix="1">
      <alignment horizontal="center"/>
    </xf>
    <xf numFmtId="0" fontId="5" fillId="33" borderId="14" xfId="0" applyFont="1" applyFill="1" applyBorder="1" applyAlignment="1" quotePrefix="1">
      <alignment horizontal="center"/>
    </xf>
    <xf numFmtId="0" fontId="5" fillId="33" borderId="15" xfId="0" applyFont="1" applyFill="1" applyBorder="1" applyAlignment="1" quotePrefix="1">
      <alignment horizontal="center"/>
    </xf>
    <xf numFmtId="0" fontId="5" fillId="33" borderId="16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 quotePrefix="1">
      <alignment horizontal="center" vertical="center"/>
    </xf>
    <xf numFmtId="0" fontId="5" fillId="33" borderId="20" xfId="0" applyFont="1" applyFill="1" applyBorder="1" applyAlignment="1" quotePrefix="1">
      <alignment horizontal="center" vertical="center"/>
    </xf>
    <xf numFmtId="49" fontId="4" fillId="33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8" fillId="4" borderId="24" xfId="0" applyFont="1" applyFill="1" applyBorder="1" applyAlignment="1">
      <alignment horizontal="center"/>
    </xf>
    <xf numFmtId="20" fontId="8" fillId="4" borderId="25" xfId="0" applyNumberFormat="1" applyFont="1" applyFill="1" applyBorder="1" applyAlignment="1">
      <alignment horizontal="center"/>
    </xf>
    <xf numFmtId="0" fontId="8" fillId="4" borderId="25" xfId="0" applyNumberFormat="1" applyFont="1" applyFill="1" applyBorder="1" applyAlignment="1">
      <alignment horizontal="center"/>
    </xf>
    <xf numFmtId="20" fontId="8" fillId="4" borderId="26" xfId="0" applyNumberFormat="1" applyFont="1" applyFill="1" applyBorder="1" applyAlignment="1">
      <alignment horizontal="center" wrapText="1"/>
    </xf>
    <xf numFmtId="4" fontId="8" fillId="4" borderId="26" xfId="0" applyNumberFormat="1" applyFont="1" applyFill="1" applyBorder="1" applyAlignment="1">
      <alignment/>
    </xf>
    <xf numFmtId="4" fontId="8" fillId="4" borderId="25" xfId="0" applyNumberFormat="1" applyFont="1" applyFill="1" applyBorder="1" applyAlignment="1">
      <alignment/>
    </xf>
    <xf numFmtId="2" fontId="8" fillId="4" borderId="25" xfId="0" applyNumberFormat="1" applyFont="1" applyFill="1" applyBorder="1" applyAlignment="1">
      <alignment/>
    </xf>
    <xf numFmtId="164" fontId="8" fillId="4" borderId="25" xfId="62" applyFont="1" applyFill="1" applyBorder="1" applyAlignment="1">
      <alignment/>
    </xf>
    <xf numFmtId="164" fontId="8" fillId="4" borderId="27" xfId="62" applyFont="1" applyFill="1" applyBorder="1" applyAlignment="1">
      <alignment/>
    </xf>
    <xf numFmtId="0" fontId="8" fillId="4" borderId="28" xfId="0" applyFont="1" applyFill="1" applyBorder="1" applyAlignment="1">
      <alignment/>
    </xf>
    <xf numFmtId="0" fontId="8" fillId="4" borderId="29" xfId="0" applyFont="1" applyFill="1" applyBorder="1" applyAlignment="1">
      <alignment horizontal="center"/>
    </xf>
    <xf numFmtId="20" fontId="8" fillId="4" borderId="30" xfId="0" applyNumberFormat="1" applyFont="1" applyFill="1" applyBorder="1" applyAlignment="1">
      <alignment horizontal="center"/>
    </xf>
    <xf numFmtId="0" fontId="8" fillId="4" borderId="30" xfId="0" applyNumberFormat="1" applyFont="1" applyFill="1" applyBorder="1" applyAlignment="1">
      <alignment horizontal="center"/>
    </xf>
    <xf numFmtId="20" fontId="8" fillId="4" borderId="31" xfId="0" applyNumberFormat="1" applyFont="1" applyFill="1" applyBorder="1" applyAlignment="1">
      <alignment horizontal="center" wrapText="1"/>
    </xf>
    <xf numFmtId="4" fontId="8" fillId="4" borderId="30" xfId="0" applyNumberFormat="1" applyFont="1" applyFill="1" applyBorder="1" applyAlignment="1">
      <alignment/>
    </xf>
    <xf numFmtId="2" fontId="8" fillId="4" borderId="30" xfId="0" applyNumberFormat="1" applyFont="1" applyFill="1" applyBorder="1" applyAlignment="1">
      <alignment/>
    </xf>
    <xf numFmtId="164" fontId="8" fillId="4" borderId="30" xfId="62" applyFont="1" applyFill="1" applyBorder="1" applyAlignment="1">
      <alignment/>
    </xf>
    <xf numFmtId="164" fontId="8" fillId="4" borderId="32" xfId="62" applyFont="1" applyFill="1" applyBorder="1" applyAlignment="1">
      <alignment/>
    </xf>
    <xf numFmtId="20" fontId="8" fillId="4" borderId="25" xfId="0" applyNumberFormat="1" applyFont="1" applyFill="1" applyBorder="1" applyAlignment="1">
      <alignment horizontal="center" wrapText="1"/>
    </xf>
    <xf numFmtId="0" fontId="7" fillId="34" borderId="28" xfId="0" applyFont="1" applyFill="1" applyBorder="1" applyAlignment="1">
      <alignment/>
    </xf>
    <xf numFmtId="0" fontId="8" fillId="34" borderId="29" xfId="0" applyFont="1" applyFill="1" applyBorder="1" applyAlignment="1">
      <alignment horizontal="center"/>
    </xf>
    <xf numFmtId="20" fontId="8" fillId="34" borderId="30" xfId="0" applyNumberFormat="1" applyFont="1" applyFill="1" applyBorder="1" applyAlignment="1">
      <alignment horizontal="center"/>
    </xf>
    <xf numFmtId="0" fontId="8" fillId="34" borderId="30" xfId="0" applyNumberFormat="1" applyFont="1" applyFill="1" applyBorder="1" applyAlignment="1">
      <alignment horizontal="center"/>
    </xf>
    <xf numFmtId="20" fontId="8" fillId="34" borderId="25" xfId="0" applyNumberFormat="1" applyFont="1" applyFill="1" applyBorder="1" applyAlignment="1">
      <alignment horizontal="center" wrapText="1"/>
    </xf>
    <xf numFmtId="4" fontId="8" fillId="34" borderId="25" xfId="0" applyNumberFormat="1" applyFont="1" applyFill="1" applyBorder="1" applyAlignment="1">
      <alignment/>
    </xf>
    <xf numFmtId="2" fontId="8" fillId="34" borderId="30" xfId="0" applyNumberFormat="1" applyFont="1" applyFill="1" applyBorder="1" applyAlignment="1">
      <alignment/>
    </xf>
    <xf numFmtId="164" fontId="8" fillId="34" borderId="30" xfId="62" applyFont="1" applyFill="1" applyBorder="1" applyAlignment="1">
      <alignment/>
    </xf>
    <xf numFmtId="164" fontId="8" fillId="34" borderId="32" xfId="62" applyFont="1" applyFill="1" applyBorder="1" applyAlignment="1">
      <alignment/>
    </xf>
    <xf numFmtId="0" fontId="8" fillId="34" borderId="28" xfId="0" applyFont="1" applyFill="1" applyBorder="1" applyAlignment="1">
      <alignment/>
    </xf>
    <xf numFmtId="20" fontId="8" fillId="34" borderId="31" xfId="0" applyNumberFormat="1" applyFont="1" applyFill="1" applyBorder="1" applyAlignment="1">
      <alignment horizontal="center" wrapText="1"/>
    </xf>
    <xf numFmtId="4" fontId="8" fillId="34" borderId="30" xfId="0" applyNumberFormat="1" applyFont="1" applyFill="1" applyBorder="1" applyAlignment="1">
      <alignment/>
    </xf>
    <xf numFmtId="0" fontId="8" fillId="34" borderId="33" xfId="0" applyFont="1" applyFill="1" applyBorder="1" applyAlignment="1">
      <alignment/>
    </xf>
    <xf numFmtId="0" fontId="8" fillId="34" borderId="34" xfId="0" applyFont="1" applyFill="1" applyBorder="1" applyAlignment="1">
      <alignment horizontal="center"/>
    </xf>
    <xf numFmtId="20" fontId="8" fillId="34" borderId="34" xfId="0" applyNumberFormat="1" applyFont="1" applyFill="1" applyBorder="1" applyAlignment="1">
      <alignment horizontal="center"/>
    </xf>
    <xf numFmtId="0" fontId="8" fillId="34" borderId="34" xfId="0" applyNumberFormat="1" applyFont="1" applyFill="1" applyBorder="1" applyAlignment="1">
      <alignment horizontal="center"/>
    </xf>
    <xf numFmtId="4" fontId="8" fillId="34" borderId="34" xfId="0" applyNumberFormat="1" applyFont="1" applyFill="1" applyBorder="1" applyAlignment="1">
      <alignment/>
    </xf>
    <xf numFmtId="2" fontId="8" fillId="34" borderId="34" xfId="0" applyNumberFormat="1" applyFont="1" applyFill="1" applyBorder="1" applyAlignment="1">
      <alignment/>
    </xf>
    <xf numFmtId="164" fontId="8" fillId="34" borderId="34" xfId="62" applyFont="1" applyFill="1" applyBorder="1" applyAlignment="1">
      <alignment/>
    </xf>
    <xf numFmtId="164" fontId="8" fillId="34" borderId="35" xfId="62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5" fillId="33" borderId="36" xfId="0" applyFont="1" applyFill="1" applyBorder="1" applyAlignment="1" quotePrefix="1">
      <alignment horizontal="center" vertical="center"/>
    </xf>
    <xf numFmtId="49" fontId="5" fillId="33" borderId="18" xfId="0" applyNumberFormat="1" applyFont="1" applyFill="1" applyBorder="1" applyAlignment="1">
      <alignment horizontal="center"/>
    </xf>
    <xf numFmtId="0" fontId="7" fillId="6" borderId="37" xfId="0" applyFont="1" applyFill="1" applyBorder="1" applyAlignment="1">
      <alignment/>
    </xf>
    <xf numFmtId="0" fontId="8" fillId="6" borderId="38" xfId="0" applyFont="1" applyFill="1" applyBorder="1" applyAlignment="1">
      <alignment horizontal="center"/>
    </xf>
    <xf numFmtId="49" fontId="8" fillId="6" borderId="39" xfId="0" applyNumberFormat="1" applyFont="1" applyFill="1" applyBorder="1" applyAlignment="1">
      <alignment horizontal="center"/>
    </xf>
    <xf numFmtId="0" fontId="8" fillId="6" borderId="39" xfId="0" applyNumberFormat="1" applyFont="1" applyFill="1" applyBorder="1" applyAlignment="1">
      <alignment horizontal="center"/>
    </xf>
    <xf numFmtId="20" fontId="8" fillId="6" borderId="39" xfId="0" applyNumberFormat="1" applyFont="1" applyFill="1" applyBorder="1" applyAlignment="1">
      <alignment horizontal="center"/>
    </xf>
    <xf numFmtId="4" fontId="8" fillId="6" borderId="39" xfId="0" applyNumberFormat="1" applyFont="1" applyFill="1" applyBorder="1" applyAlignment="1">
      <alignment/>
    </xf>
    <xf numFmtId="2" fontId="8" fillId="6" borderId="39" xfId="0" applyNumberFormat="1" applyFont="1" applyFill="1" applyBorder="1" applyAlignment="1">
      <alignment/>
    </xf>
    <xf numFmtId="164" fontId="8" fillId="6" borderId="39" xfId="62" applyFont="1" applyFill="1" applyBorder="1" applyAlignment="1">
      <alignment/>
    </xf>
    <xf numFmtId="164" fontId="8" fillId="6" borderId="40" xfId="62" applyFont="1" applyFill="1" applyBorder="1" applyAlignment="1">
      <alignment/>
    </xf>
    <xf numFmtId="0" fontId="8" fillId="6" borderId="23" xfId="0" applyFont="1" applyFill="1" applyBorder="1" applyAlignment="1">
      <alignment/>
    </xf>
    <xf numFmtId="0" fontId="8" fillId="6" borderId="24" xfId="0" applyFont="1" applyFill="1" applyBorder="1" applyAlignment="1">
      <alignment/>
    </xf>
    <xf numFmtId="20" fontId="8" fillId="6" borderId="25" xfId="0" applyNumberFormat="1" applyFont="1" applyFill="1" applyBorder="1" applyAlignment="1">
      <alignment horizontal="center"/>
    </xf>
    <xf numFmtId="0" fontId="8" fillId="6" borderId="25" xfId="0" applyNumberFormat="1" applyFont="1" applyFill="1" applyBorder="1" applyAlignment="1">
      <alignment horizontal="center"/>
    </xf>
    <xf numFmtId="20" fontId="8" fillId="6" borderId="25" xfId="0" applyNumberFormat="1" applyFont="1" applyFill="1" applyBorder="1" applyAlignment="1">
      <alignment horizontal="center" wrapText="1"/>
    </xf>
    <xf numFmtId="4" fontId="8" fillId="6" borderId="25" xfId="0" applyNumberFormat="1" applyFont="1" applyFill="1" applyBorder="1" applyAlignment="1">
      <alignment/>
    </xf>
    <xf numFmtId="2" fontId="8" fillId="6" borderId="25" xfId="0" applyNumberFormat="1" applyFont="1" applyFill="1" applyBorder="1" applyAlignment="1">
      <alignment/>
    </xf>
    <xf numFmtId="164" fontId="8" fillId="6" borderId="25" xfId="62" applyFont="1" applyFill="1" applyBorder="1" applyAlignment="1">
      <alignment/>
    </xf>
    <xf numFmtId="164" fontId="8" fillId="6" borderId="27" xfId="62" applyFont="1" applyFill="1" applyBorder="1" applyAlignment="1">
      <alignment/>
    </xf>
    <xf numFmtId="0" fontId="8" fillId="6" borderId="33" xfId="0" applyFont="1" applyFill="1" applyBorder="1" applyAlignment="1">
      <alignment/>
    </xf>
    <xf numFmtId="0" fontId="8" fillId="6" borderId="34" xfId="0" applyFont="1" applyFill="1" applyBorder="1" applyAlignment="1">
      <alignment/>
    </xf>
    <xf numFmtId="20" fontId="8" fillId="6" borderId="34" xfId="0" applyNumberFormat="1" applyFont="1" applyFill="1" applyBorder="1" applyAlignment="1">
      <alignment horizontal="center"/>
    </xf>
    <xf numFmtId="0" fontId="8" fillId="6" borderId="34" xfId="0" applyNumberFormat="1" applyFont="1" applyFill="1" applyBorder="1" applyAlignment="1">
      <alignment horizontal="center"/>
    </xf>
    <xf numFmtId="4" fontId="8" fillId="6" borderId="34" xfId="0" applyNumberFormat="1" applyFont="1" applyFill="1" applyBorder="1" applyAlignment="1">
      <alignment/>
    </xf>
    <xf numFmtId="2" fontId="8" fillId="6" borderId="34" xfId="0" applyNumberFormat="1" applyFont="1" applyFill="1" applyBorder="1" applyAlignment="1">
      <alignment/>
    </xf>
    <xf numFmtId="164" fontId="8" fillId="6" borderId="34" xfId="62" applyFont="1" applyFill="1" applyBorder="1" applyAlignment="1">
      <alignment/>
    </xf>
    <xf numFmtId="164" fontId="8" fillId="6" borderId="35" xfId="62" applyFont="1" applyFill="1" applyBorder="1" applyAlignment="1">
      <alignment/>
    </xf>
    <xf numFmtId="0" fontId="7" fillId="7" borderId="37" xfId="0" applyFont="1" applyFill="1" applyBorder="1" applyAlignment="1">
      <alignment/>
    </xf>
    <xf numFmtId="0" fontId="8" fillId="7" borderId="41" xfId="0" applyFont="1" applyFill="1" applyBorder="1" applyAlignment="1">
      <alignment horizontal="center"/>
    </xf>
    <xf numFmtId="49" fontId="8" fillId="7" borderId="41" xfId="0" applyNumberFormat="1" applyFont="1" applyFill="1" applyBorder="1" applyAlignment="1">
      <alignment horizontal="center"/>
    </xf>
    <xf numFmtId="0" fontId="8" fillId="7" borderId="41" xfId="0" applyNumberFormat="1" applyFont="1" applyFill="1" applyBorder="1" applyAlignment="1">
      <alignment horizontal="center"/>
    </xf>
    <xf numFmtId="20" fontId="8" fillId="7" borderId="42" xfId="0" applyNumberFormat="1" applyFont="1" applyFill="1" applyBorder="1" applyAlignment="1">
      <alignment horizontal="center"/>
    </xf>
    <xf numFmtId="4" fontId="8" fillId="7" borderId="41" xfId="0" applyNumberFormat="1" applyFont="1" applyFill="1" applyBorder="1" applyAlignment="1">
      <alignment/>
    </xf>
    <xf numFmtId="2" fontId="8" fillId="7" borderId="41" xfId="0" applyNumberFormat="1" applyFont="1" applyFill="1" applyBorder="1" applyAlignment="1">
      <alignment/>
    </xf>
    <xf numFmtId="164" fontId="8" fillId="7" borderId="41" xfId="62" applyFont="1" applyFill="1" applyBorder="1" applyAlignment="1">
      <alignment/>
    </xf>
    <xf numFmtId="164" fontId="8" fillId="7" borderId="43" xfId="62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8" fillId="17" borderId="25" xfId="0" applyNumberFormat="1" applyFont="1" applyFill="1" applyBorder="1" applyAlignment="1">
      <alignment/>
    </xf>
    <xf numFmtId="4" fontId="8" fillId="17" borderId="30" xfId="0" applyNumberFormat="1" applyFont="1" applyFill="1" applyBorder="1" applyAlignment="1">
      <alignment/>
    </xf>
    <xf numFmtId="4" fontId="8" fillId="17" borderId="34" xfId="0" applyNumberFormat="1" applyFont="1" applyFill="1" applyBorder="1" applyAlignment="1">
      <alignment/>
    </xf>
    <xf numFmtId="4" fontId="8" fillId="33" borderId="25" xfId="0" applyNumberFormat="1" applyFont="1" applyFill="1" applyBorder="1" applyAlignment="1">
      <alignment/>
    </xf>
    <xf numFmtId="4" fontId="8" fillId="33" borderId="30" xfId="0" applyNumberFormat="1" applyFont="1" applyFill="1" applyBorder="1" applyAlignment="1">
      <alignment/>
    </xf>
    <xf numFmtId="4" fontId="8" fillId="12" borderId="39" xfId="0" applyNumberFormat="1" applyFont="1" applyFill="1" applyBorder="1" applyAlignment="1">
      <alignment/>
    </xf>
    <xf numFmtId="4" fontId="8" fillId="12" borderId="25" xfId="0" applyNumberFormat="1" applyFont="1" applyFill="1" applyBorder="1" applyAlignment="1">
      <alignment/>
    </xf>
    <xf numFmtId="4" fontId="8" fillId="12" borderId="34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dxfs count="6"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  <dxf>
      <fill>
        <patternFill>
          <bgColor rgb="FFFA3C4A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01\Recursos%20Humanos\Users\Jacir\Desktop\AL.%20TAMANDAR&#201;\ENQUADRAMENTO%20AT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01\Recursos%20Humanos\Users\contabilidade3\Dropbox\RH%20-%20PC%20PREF\TABELAS%20DE%20CARGOS\MAIO%202019\TABELAS%20PROFESSORAS%20052018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q Coordenadores"/>
      <sheetName val="Enquadramento 26.03"/>
      <sheetName val="Enq. 20.03"/>
      <sheetName val="LOCAIS "/>
      <sheetName val="Enquadramento G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Enq Professore."/>
      <sheetName val="Tabela de Enq Ed. Infantil "/>
      <sheetName val="GRATIFICAÇÕES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35"/>
  <sheetViews>
    <sheetView showGridLines="0" tabSelected="1" zoomScale="130" zoomScaleNormal="130" zoomScalePageLayoutView="0" workbookViewId="0" topLeftCell="A1">
      <selection activeCell="B109" sqref="B109"/>
    </sheetView>
  </sheetViews>
  <sheetFormatPr defaultColWidth="9.140625" defaultRowHeight="12.75"/>
  <cols>
    <col min="1" max="1" width="5.140625" style="2" customWidth="1"/>
    <col min="2" max="2" width="41.7109375" style="2" customWidth="1"/>
    <col min="3" max="3" width="11.8515625" style="2" customWidth="1"/>
    <col min="4" max="4" width="13.140625" style="2" customWidth="1"/>
    <col min="5" max="5" width="7.421875" style="62" customWidth="1"/>
    <col min="6" max="6" width="37.28125" style="2" customWidth="1"/>
    <col min="7" max="7" width="9.140625" style="2" hidden="1" customWidth="1"/>
    <col min="8" max="8" width="8.28125" style="2" hidden="1" customWidth="1"/>
    <col min="9" max="10" width="8.140625" style="2" hidden="1" customWidth="1"/>
    <col min="11" max="11" width="8.140625" style="2" customWidth="1"/>
    <col min="12" max="18" width="8.140625" style="2" bestFit="1" customWidth="1"/>
    <col min="19" max="19" width="8.57421875" style="2" customWidth="1"/>
    <col min="20" max="42" width="8.140625" style="2" bestFit="1" customWidth="1"/>
    <col min="43" max="43" width="8.140625" style="2" customWidth="1"/>
    <col min="44" max="45" width="9.421875" style="2" customWidth="1"/>
    <col min="46" max="48" width="9.421875" style="2" hidden="1" customWidth="1"/>
    <col min="49" max="49" width="11.28125" style="2" hidden="1" customWidth="1"/>
    <col min="50" max="50" width="9.421875" style="2" hidden="1" customWidth="1"/>
    <col min="51" max="16384" width="9.140625" style="2" customWidth="1"/>
  </cols>
  <sheetData>
    <row r="2" spans="2:40" ht="16.5" customHeight="1" thickBot="1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7"/>
      <c r="AB2" s="117"/>
      <c r="AC2" s="117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50" s="12" customFormat="1" ht="15" thickTop="1">
      <c r="B3" s="110" t="s">
        <v>1</v>
      </c>
      <c r="C3" s="3"/>
      <c r="D3" s="112" t="s">
        <v>2</v>
      </c>
      <c r="E3" s="4"/>
      <c r="F3" s="118" t="s">
        <v>3</v>
      </c>
      <c r="G3" s="5"/>
      <c r="H3" s="6"/>
      <c r="I3" s="7"/>
      <c r="J3" s="7" t="s">
        <v>40</v>
      </c>
      <c r="K3" s="8" t="s">
        <v>4</v>
      </c>
      <c r="L3" s="7" t="s">
        <v>5</v>
      </c>
      <c r="M3" s="7" t="s">
        <v>6</v>
      </c>
      <c r="N3" s="7" t="s">
        <v>7</v>
      </c>
      <c r="O3" s="7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14</v>
      </c>
      <c r="V3" s="7" t="s">
        <v>15</v>
      </c>
      <c r="W3" s="7" t="s">
        <v>16</v>
      </c>
      <c r="X3" s="7" t="s">
        <v>17</v>
      </c>
      <c r="Y3" s="7" t="s">
        <v>18</v>
      </c>
      <c r="Z3" s="7" t="s">
        <v>19</v>
      </c>
      <c r="AA3" s="9" t="s">
        <v>20</v>
      </c>
      <c r="AB3" s="9" t="s">
        <v>21</v>
      </c>
      <c r="AC3" s="9">
        <v>19</v>
      </c>
      <c r="AD3" s="9">
        <v>20</v>
      </c>
      <c r="AE3" s="9">
        <v>21</v>
      </c>
      <c r="AF3" s="9">
        <v>22</v>
      </c>
      <c r="AG3" s="9">
        <v>23</v>
      </c>
      <c r="AH3" s="9">
        <v>24</v>
      </c>
      <c r="AI3" s="9">
        <v>25</v>
      </c>
      <c r="AJ3" s="9">
        <v>26</v>
      </c>
      <c r="AK3" s="9">
        <v>27</v>
      </c>
      <c r="AL3" s="9">
        <v>28</v>
      </c>
      <c r="AM3" s="9">
        <v>29</v>
      </c>
      <c r="AN3" s="9">
        <v>30</v>
      </c>
      <c r="AO3" s="9">
        <v>31</v>
      </c>
      <c r="AP3" s="9">
        <v>32</v>
      </c>
      <c r="AQ3" s="9">
        <v>33</v>
      </c>
      <c r="AR3" s="9">
        <v>34</v>
      </c>
      <c r="AS3" s="9">
        <v>35</v>
      </c>
      <c r="AT3" s="9">
        <v>36</v>
      </c>
      <c r="AU3" s="9">
        <v>37</v>
      </c>
      <c r="AV3" s="10">
        <v>38</v>
      </c>
      <c r="AW3" s="9">
        <v>39</v>
      </c>
      <c r="AX3" s="11">
        <v>40</v>
      </c>
    </row>
    <row r="4" spans="2:50" s="12" customFormat="1" ht="16.5" customHeight="1" thickBot="1">
      <c r="B4" s="111"/>
      <c r="C4" s="13" t="s">
        <v>22</v>
      </c>
      <c r="D4" s="113"/>
      <c r="E4" s="14" t="s">
        <v>23</v>
      </c>
      <c r="F4" s="119"/>
      <c r="G4" s="15">
        <v>2016</v>
      </c>
      <c r="H4" s="16">
        <v>2018</v>
      </c>
      <c r="I4" s="16" t="s">
        <v>24</v>
      </c>
      <c r="J4" s="16">
        <v>2024</v>
      </c>
      <c r="K4" s="17"/>
      <c r="L4" s="17"/>
      <c r="M4" s="17"/>
      <c r="N4" s="17"/>
      <c r="O4" s="17"/>
      <c r="P4" s="17"/>
      <c r="Q4" s="17"/>
      <c r="R4" s="17"/>
      <c r="S4" s="18"/>
      <c r="T4" s="17"/>
      <c r="U4" s="17"/>
      <c r="V4" s="17"/>
      <c r="W4" s="17"/>
      <c r="X4" s="18"/>
      <c r="Y4" s="18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20"/>
      <c r="AW4" s="19"/>
      <c r="AX4" s="21"/>
    </row>
    <row r="5" spans="2:50" s="12" customFormat="1" ht="20.25" customHeight="1" thickTop="1">
      <c r="B5" s="22" t="s">
        <v>25</v>
      </c>
      <c r="C5" s="23">
        <v>3036003</v>
      </c>
      <c r="D5" s="24">
        <v>0.8333333333333334</v>
      </c>
      <c r="E5" s="25"/>
      <c r="F5" s="26" t="s">
        <v>26</v>
      </c>
      <c r="G5" s="27">
        <v>942.54</v>
      </c>
      <c r="H5" s="27">
        <v>1158.8628239999998</v>
      </c>
      <c r="I5" s="28">
        <f>1402.9737304506-0.01</f>
        <v>1402.9637304506</v>
      </c>
      <c r="J5" s="28">
        <v>1874.74</v>
      </c>
      <c r="K5" s="105">
        <f>+J5*5.47%+J5</f>
        <v>1977.288278</v>
      </c>
      <c r="L5" s="28">
        <f>K5*1.03</f>
        <v>2036.60692634</v>
      </c>
      <c r="M5" s="28">
        <f>$K$5*1.06</f>
        <v>2095.92557468</v>
      </c>
      <c r="N5" s="28">
        <f>$K$5*1.09</f>
        <v>2155.24422302</v>
      </c>
      <c r="O5" s="28">
        <f>$K$5*1.12</f>
        <v>2214.5628713600004</v>
      </c>
      <c r="P5" s="28">
        <f>$K$5*1.15</f>
        <v>2273.8815197</v>
      </c>
      <c r="Q5" s="28">
        <f>$K$5*1.18</f>
        <v>2333.20016804</v>
      </c>
      <c r="R5" s="28">
        <f>$K$5*1.21</f>
        <v>2392.51881638</v>
      </c>
      <c r="S5" s="28">
        <f>$K$5*1.24</f>
        <v>2451.83746472</v>
      </c>
      <c r="T5" s="28">
        <f>$K$5*1.27</f>
        <v>2511.15611306</v>
      </c>
      <c r="U5" s="28">
        <f>$K$5*1.3</f>
        <v>2570.4747614000003</v>
      </c>
      <c r="V5" s="28">
        <f>$K$5*1.33</f>
        <v>2629.7934097400002</v>
      </c>
      <c r="W5" s="28">
        <f>$K$5*1.36</f>
        <v>2689.11205808</v>
      </c>
      <c r="X5" s="28">
        <f>$K$5*1.39</f>
        <v>2748.4307064199998</v>
      </c>
      <c r="Y5" s="28">
        <f>$K$5*1.42</f>
        <v>2807.7493547599997</v>
      </c>
      <c r="Z5" s="28">
        <f>$K$5*1.45</f>
        <v>2867.0680030999997</v>
      </c>
      <c r="AA5" s="28">
        <f>$K$5*1.48</f>
        <v>2926.38665144</v>
      </c>
      <c r="AB5" s="28">
        <f>$K$5*1.51</f>
        <v>2985.70529978</v>
      </c>
      <c r="AC5" s="28">
        <f>$K$5*1.54</f>
        <v>3045.02394812</v>
      </c>
      <c r="AD5" s="28">
        <f>$K$5*1.57</f>
        <v>3104.34259646</v>
      </c>
      <c r="AE5" s="28">
        <f>$K$5*1.6</f>
        <v>3163.6612448</v>
      </c>
      <c r="AF5" s="28">
        <f>$K$5*1.63</f>
        <v>3222.9798931399996</v>
      </c>
      <c r="AG5" s="28">
        <f>$K$5*1.66</f>
        <v>3282.29854148</v>
      </c>
      <c r="AH5" s="28">
        <f>$K$5*1.69</f>
        <v>3341.61718982</v>
      </c>
      <c r="AI5" s="28">
        <f>$K$5*1.72</f>
        <v>3400.93583816</v>
      </c>
      <c r="AJ5" s="28">
        <f>$K$5*1.75</f>
        <v>3460.2544865</v>
      </c>
      <c r="AK5" s="28">
        <f>$K$5*1.78</f>
        <v>3519.57313484</v>
      </c>
      <c r="AL5" s="28">
        <f>$K$5*1.81</f>
        <v>3578.89178318</v>
      </c>
      <c r="AM5" s="28">
        <f>$K$5*1.84</f>
        <v>3638.21043152</v>
      </c>
      <c r="AN5" s="28">
        <f>$K$5*1.87</f>
        <v>3697.5290798600004</v>
      </c>
      <c r="AO5" s="28">
        <f>$K$5*1.89</f>
        <v>3737.0748454199997</v>
      </c>
      <c r="AP5" s="28">
        <f>$K$5*1.91</f>
        <v>3776.62061098</v>
      </c>
      <c r="AQ5" s="28">
        <f>$K$5*1.93</f>
        <v>3816.16637654</v>
      </c>
      <c r="AR5" s="28">
        <f>$K$5*1.95</f>
        <v>3855.7121420999997</v>
      </c>
      <c r="AS5" s="28">
        <f>$K$5*1.97</f>
        <v>3895.25790766</v>
      </c>
      <c r="AT5" s="29"/>
      <c r="AU5" s="30"/>
      <c r="AV5" s="30"/>
      <c r="AW5" s="30"/>
      <c r="AX5" s="31"/>
    </row>
    <row r="6" spans="2:50" s="12" customFormat="1" ht="18.75" customHeight="1">
      <c r="B6" s="32"/>
      <c r="C6" s="33"/>
      <c r="D6" s="34"/>
      <c r="E6" s="35"/>
      <c r="F6" s="36" t="s">
        <v>27</v>
      </c>
      <c r="G6" s="28"/>
      <c r="H6" s="28"/>
      <c r="I6" s="37">
        <f>+I5*1.1</f>
        <v>1543.2601034956601</v>
      </c>
      <c r="J6" s="37">
        <v>2062.22</v>
      </c>
      <c r="K6" s="106">
        <f>+J6*5.47%+J6</f>
        <v>2175.0234339999997</v>
      </c>
      <c r="L6" s="37">
        <f aca="true" t="shared" si="0" ref="L6:AS6">+L5*1.1</f>
        <v>2240.267618974</v>
      </c>
      <c r="M6" s="37">
        <f t="shared" si="0"/>
        <v>2305.518132148</v>
      </c>
      <c r="N6" s="37">
        <f t="shared" si="0"/>
        <v>2370.7686453220003</v>
      </c>
      <c r="O6" s="37">
        <f t="shared" si="0"/>
        <v>2436.0191584960007</v>
      </c>
      <c r="P6" s="37">
        <f t="shared" si="0"/>
        <v>2501.26967167</v>
      </c>
      <c r="Q6" s="37">
        <f t="shared" si="0"/>
        <v>2566.520184844</v>
      </c>
      <c r="R6" s="37">
        <f t="shared" si="0"/>
        <v>2631.770698018</v>
      </c>
      <c r="S6" s="37">
        <f t="shared" si="0"/>
        <v>2697.021211192</v>
      </c>
      <c r="T6" s="37">
        <f t="shared" si="0"/>
        <v>2762.271724366</v>
      </c>
      <c r="U6" s="37">
        <f t="shared" si="0"/>
        <v>2827.5222375400003</v>
      </c>
      <c r="V6" s="37">
        <f t="shared" si="0"/>
        <v>2892.7727507140007</v>
      </c>
      <c r="W6" s="37">
        <f t="shared" si="0"/>
        <v>2958.0232638880007</v>
      </c>
      <c r="X6" s="37">
        <f t="shared" si="0"/>
        <v>3023.273777062</v>
      </c>
      <c r="Y6" s="37">
        <f t="shared" si="0"/>
        <v>3088.524290236</v>
      </c>
      <c r="Z6" s="37">
        <f t="shared" si="0"/>
        <v>3153.77480341</v>
      </c>
      <c r="AA6" s="37">
        <f t="shared" si="0"/>
        <v>3219.0253165840004</v>
      </c>
      <c r="AB6" s="37">
        <f t="shared" si="0"/>
        <v>3284.2758297580003</v>
      </c>
      <c r="AC6" s="37">
        <f t="shared" si="0"/>
        <v>3349.5263429320003</v>
      </c>
      <c r="AD6" s="37">
        <f t="shared" si="0"/>
        <v>3414.776856106</v>
      </c>
      <c r="AE6" s="37">
        <f t="shared" si="0"/>
        <v>3480.0273692800006</v>
      </c>
      <c r="AF6" s="37">
        <f t="shared" si="0"/>
        <v>3545.277882454</v>
      </c>
      <c r="AG6" s="37">
        <f t="shared" si="0"/>
        <v>3610.5283956280005</v>
      </c>
      <c r="AH6" s="37">
        <f t="shared" si="0"/>
        <v>3675.7789088020004</v>
      </c>
      <c r="AI6" s="37">
        <f t="shared" si="0"/>
        <v>3741.0294219760003</v>
      </c>
      <c r="AJ6" s="37">
        <f t="shared" si="0"/>
        <v>3806.2799351500003</v>
      </c>
      <c r="AK6" s="37">
        <f t="shared" si="0"/>
        <v>3871.530448324</v>
      </c>
      <c r="AL6" s="37">
        <f t="shared" si="0"/>
        <v>3936.780961498</v>
      </c>
      <c r="AM6" s="37">
        <f t="shared" si="0"/>
        <v>4002.031474672</v>
      </c>
      <c r="AN6" s="37">
        <f t="shared" si="0"/>
        <v>4067.281987846001</v>
      </c>
      <c r="AO6" s="37">
        <f t="shared" si="0"/>
        <v>4110.782329962</v>
      </c>
      <c r="AP6" s="37">
        <f t="shared" si="0"/>
        <v>4154.282672078</v>
      </c>
      <c r="AQ6" s="37">
        <f t="shared" si="0"/>
        <v>4197.783014194</v>
      </c>
      <c r="AR6" s="37">
        <f t="shared" si="0"/>
        <v>4241.28335631</v>
      </c>
      <c r="AS6" s="37">
        <f t="shared" si="0"/>
        <v>4284.783698426</v>
      </c>
      <c r="AT6" s="38"/>
      <c r="AU6" s="39"/>
      <c r="AV6" s="39"/>
      <c r="AW6" s="39"/>
      <c r="AX6" s="40"/>
    </row>
    <row r="7" spans="2:50" s="12" customFormat="1" ht="15" customHeight="1">
      <c r="B7" s="32"/>
      <c r="C7" s="33"/>
      <c r="D7" s="34"/>
      <c r="E7" s="35"/>
      <c r="F7" s="41" t="s">
        <v>28</v>
      </c>
      <c r="G7" s="28"/>
      <c r="H7" s="28"/>
      <c r="I7" s="37">
        <f>+I6*1.15</f>
        <v>1774.749119020009</v>
      </c>
      <c r="J7" s="37">
        <v>2371.56</v>
      </c>
      <c r="K7" s="106">
        <f>+J7*5.47%+J7+0.01</f>
        <v>2501.2943320000004</v>
      </c>
      <c r="L7" s="37">
        <f aca="true" t="shared" si="1" ref="L7:AN7">+L6*1.15</f>
        <v>2576.3077618201</v>
      </c>
      <c r="M7" s="37">
        <f t="shared" si="1"/>
        <v>2651.3458519702</v>
      </c>
      <c r="N7" s="37">
        <f t="shared" si="1"/>
        <v>2726.3839421203</v>
      </c>
      <c r="O7" s="37">
        <f t="shared" si="1"/>
        <v>2801.4220322704005</v>
      </c>
      <c r="P7" s="37">
        <f t="shared" si="1"/>
        <v>2876.4601224205</v>
      </c>
      <c r="Q7" s="37">
        <f t="shared" si="1"/>
        <v>2951.4982125706</v>
      </c>
      <c r="R7" s="37">
        <f t="shared" si="1"/>
        <v>3026.5363027207</v>
      </c>
      <c r="S7" s="37">
        <f t="shared" si="1"/>
        <v>3101.5743928708</v>
      </c>
      <c r="T7" s="37">
        <f t="shared" si="1"/>
        <v>3176.6124830208996</v>
      </c>
      <c r="U7" s="37">
        <f t="shared" si="1"/>
        <v>3251.650573171</v>
      </c>
      <c r="V7" s="37">
        <f t="shared" si="1"/>
        <v>3326.6886633211006</v>
      </c>
      <c r="W7" s="37">
        <f t="shared" si="1"/>
        <v>3401.7267534712005</v>
      </c>
      <c r="X7" s="37">
        <f t="shared" si="1"/>
        <v>3476.7648436213</v>
      </c>
      <c r="Y7" s="37">
        <f t="shared" si="1"/>
        <v>3551.8029337713997</v>
      </c>
      <c r="Z7" s="37">
        <f t="shared" si="1"/>
        <v>3626.8410239214995</v>
      </c>
      <c r="AA7" s="37">
        <f t="shared" si="1"/>
        <v>3701.8791140716003</v>
      </c>
      <c r="AB7" s="37">
        <f t="shared" si="1"/>
        <v>3776.9172042217</v>
      </c>
      <c r="AC7" s="37">
        <f t="shared" si="1"/>
        <v>3851.9552943718</v>
      </c>
      <c r="AD7" s="37">
        <f t="shared" si="1"/>
        <v>3926.9933845218998</v>
      </c>
      <c r="AE7" s="37">
        <f t="shared" si="1"/>
        <v>4002.0314746720005</v>
      </c>
      <c r="AF7" s="37">
        <f t="shared" si="1"/>
        <v>4077.0695648221</v>
      </c>
      <c r="AG7" s="37">
        <f t="shared" si="1"/>
        <v>4152.1076549722</v>
      </c>
      <c r="AH7" s="37">
        <f t="shared" si="1"/>
        <v>4227.1457451223005</v>
      </c>
      <c r="AI7" s="37">
        <f t="shared" si="1"/>
        <v>4302.1838352724</v>
      </c>
      <c r="AJ7" s="37">
        <f t="shared" si="1"/>
        <v>4377.2219254225</v>
      </c>
      <c r="AK7" s="37">
        <f t="shared" si="1"/>
        <v>4452.2600155725995</v>
      </c>
      <c r="AL7" s="37">
        <f t="shared" si="1"/>
        <v>4527.2981057227</v>
      </c>
      <c r="AM7" s="37">
        <f t="shared" si="1"/>
        <v>4602.3361958728</v>
      </c>
      <c r="AN7" s="37">
        <f t="shared" si="1"/>
        <v>4677.3742860229</v>
      </c>
      <c r="AO7" s="37">
        <f>+AO6*1.15</f>
        <v>4727.3996794563</v>
      </c>
      <c r="AP7" s="37">
        <f>+AP6*1.15</f>
        <v>4777.4250728897005</v>
      </c>
      <c r="AQ7" s="37">
        <f>+AQ6*1.15</f>
        <v>4827.4504663231</v>
      </c>
      <c r="AR7" s="37">
        <f>+AR6*1.15</f>
        <v>4877.4758597565</v>
      </c>
      <c r="AS7" s="37">
        <f>+AS6*1.15</f>
        <v>4927.5012531899</v>
      </c>
      <c r="AT7" s="38"/>
      <c r="AU7" s="39"/>
      <c r="AV7" s="39"/>
      <c r="AW7" s="39"/>
      <c r="AX7" s="40"/>
    </row>
    <row r="8" spans="2:50" s="12" customFormat="1" ht="24" customHeight="1">
      <c r="B8" s="42" t="s">
        <v>29</v>
      </c>
      <c r="C8" s="43">
        <v>3036004</v>
      </c>
      <c r="D8" s="44">
        <v>0.8333333333333334</v>
      </c>
      <c r="E8" s="45"/>
      <c r="F8" s="46" t="s">
        <v>26</v>
      </c>
      <c r="G8" s="47">
        <v>942.54</v>
      </c>
      <c r="H8" s="47">
        <v>1158.8628239999998</v>
      </c>
      <c r="I8" s="47">
        <f>1402.9737304506-0.01</f>
        <v>1402.9637304506</v>
      </c>
      <c r="J8" s="47">
        <v>1874.74</v>
      </c>
      <c r="K8" s="102">
        <f>+J8*5.47%+J8</f>
        <v>1977.288278</v>
      </c>
      <c r="L8" s="47">
        <f>+L5</f>
        <v>2036.60692634</v>
      </c>
      <c r="M8" s="47">
        <f aca="true" t="shared" si="2" ref="M8:AS8">+M5</f>
        <v>2095.92557468</v>
      </c>
      <c r="N8" s="47">
        <f t="shared" si="2"/>
        <v>2155.24422302</v>
      </c>
      <c r="O8" s="47">
        <f t="shared" si="2"/>
        <v>2214.5628713600004</v>
      </c>
      <c r="P8" s="47">
        <f t="shared" si="2"/>
        <v>2273.8815197</v>
      </c>
      <c r="Q8" s="47">
        <f t="shared" si="2"/>
        <v>2333.20016804</v>
      </c>
      <c r="R8" s="47">
        <f t="shared" si="2"/>
        <v>2392.51881638</v>
      </c>
      <c r="S8" s="47">
        <f t="shared" si="2"/>
        <v>2451.83746472</v>
      </c>
      <c r="T8" s="47">
        <f t="shared" si="2"/>
        <v>2511.15611306</v>
      </c>
      <c r="U8" s="47">
        <f t="shared" si="2"/>
        <v>2570.4747614000003</v>
      </c>
      <c r="V8" s="47">
        <f t="shared" si="2"/>
        <v>2629.7934097400002</v>
      </c>
      <c r="W8" s="47">
        <f t="shared" si="2"/>
        <v>2689.11205808</v>
      </c>
      <c r="X8" s="47">
        <f t="shared" si="2"/>
        <v>2748.4307064199998</v>
      </c>
      <c r="Y8" s="47">
        <f t="shared" si="2"/>
        <v>2807.7493547599997</v>
      </c>
      <c r="Z8" s="47">
        <f t="shared" si="2"/>
        <v>2867.0680030999997</v>
      </c>
      <c r="AA8" s="47">
        <f t="shared" si="2"/>
        <v>2926.38665144</v>
      </c>
      <c r="AB8" s="47">
        <f t="shared" si="2"/>
        <v>2985.70529978</v>
      </c>
      <c r="AC8" s="47">
        <f t="shared" si="2"/>
        <v>3045.02394812</v>
      </c>
      <c r="AD8" s="47">
        <f t="shared" si="2"/>
        <v>3104.34259646</v>
      </c>
      <c r="AE8" s="47">
        <f t="shared" si="2"/>
        <v>3163.6612448</v>
      </c>
      <c r="AF8" s="47">
        <f t="shared" si="2"/>
        <v>3222.9798931399996</v>
      </c>
      <c r="AG8" s="47">
        <f t="shared" si="2"/>
        <v>3282.29854148</v>
      </c>
      <c r="AH8" s="47">
        <f t="shared" si="2"/>
        <v>3341.61718982</v>
      </c>
      <c r="AI8" s="47">
        <f t="shared" si="2"/>
        <v>3400.93583816</v>
      </c>
      <c r="AJ8" s="47">
        <f t="shared" si="2"/>
        <v>3460.2544865</v>
      </c>
      <c r="AK8" s="47">
        <f t="shared" si="2"/>
        <v>3519.57313484</v>
      </c>
      <c r="AL8" s="47">
        <f t="shared" si="2"/>
        <v>3578.89178318</v>
      </c>
      <c r="AM8" s="47">
        <f t="shared" si="2"/>
        <v>3638.21043152</v>
      </c>
      <c r="AN8" s="47">
        <f t="shared" si="2"/>
        <v>3697.5290798600004</v>
      </c>
      <c r="AO8" s="47">
        <f t="shared" si="2"/>
        <v>3737.0748454199997</v>
      </c>
      <c r="AP8" s="47">
        <f t="shared" si="2"/>
        <v>3776.62061098</v>
      </c>
      <c r="AQ8" s="47">
        <f t="shared" si="2"/>
        <v>3816.16637654</v>
      </c>
      <c r="AR8" s="47">
        <f t="shared" si="2"/>
        <v>3855.7121420999997</v>
      </c>
      <c r="AS8" s="47">
        <f t="shared" si="2"/>
        <v>3895.25790766</v>
      </c>
      <c r="AT8" s="48"/>
      <c r="AU8" s="49"/>
      <c r="AV8" s="49"/>
      <c r="AW8" s="49"/>
      <c r="AX8" s="50"/>
    </row>
    <row r="9" spans="2:50" s="12" customFormat="1" ht="19.5" customHeight="1">
      <c r="B9" s="51"/>
      <c r="C9" s="43"/>
      <c r="D9" s="44"/>
      <c r="E9" s="45"/>
      <c r="F9" s="52" t="s">
        <v>27</v>
      </c>
      <c r="G9" s="47"/>
      <c r="H9" s="47"/>
      <c r="I9" s="53">
        <f>+I8*1.1+0.01</f>
        <v>1543.2701034956601</v>
      </c>
      <c r="J9" s="53">
        <v>2062.22</v>
      </c>
      <c r="K9" s="103">
        <f>+J9*5.47%+J9</f>
        <v>2175.0234339999997</v>
      </c>
      <c r="L9" s="53">
        <f aca="true" t="shared" si="3" ref="L9:AS9">+L8*1.1</f>
        <v>2240.267618974</v>
      </c>
      <c r="M9" s="53">
        <f t="shared" si="3"/>
        <v>2305.518132148</v>
      </c>
      <c r="N9" s="53">
        <f t="shared" si="3"/>
        <v>2370.7686453220003</v>
      </c>
      <c r="O9" s="53">
        <f t="shared" si="3"/>
        <v>2436.0191584960007</v>
      </c>
      <c r="P9" s="53">
        <f t="shared" si="3"/>
        <v>2501.26967167</v>
      </c>
      <c r="Q9" s="53">
        <f t="shared" si="3"/>
        <v>2566.520184844</v>
      </c>
      <c r="R9" s="53">
        <f t="shared" si="3"/>
        <v>2631.770698018</v>
      </c>
      <c r="S9" s="53">
        <f t="shared" si="3"/>
        <v>2697.021211192</v>
      </c>
      <c r="T9" s="53">
        <f t="shared" si="3"/>
        <v>2762.271724366</v>
      </c>
      <c r="U9" s="53">
        <f t="shared" si="3"/>
        <v>2827.5222375400003</v>
      </c>
      <c r="V9" s="53">
        <f t="shared" si="3"/>
        <v>2892.7727507140007</v>
      </c>
      <c r="W9" s="53">
        <f t="shared" si="3"/>
        <v>2958.0232638880007</v>
      </c>
      <c r="X9" s="53">
        <f t="shared" si="3"/>
        <v>3023.273777062</v>
      </c>
      <c r="Y9" s="53">
        <f t="shared" si="3"/>
        <v>3088.524290236</v>
      </c>
      <c r="Z9" s="53">
        <f t="shared" si="3"/>
        <v>3153.77480341</v>
      </c>
      <c r="AA9" s="53">
        <f t="shared" si="3"/>
        <v>3219.0253165840004</v>
      </c>
      <c r="AB9" s="53">
        <f t="shared" si="3"/>
        <v>3284.2758297580003</v>
      </c>
      <c r="AC9" s="53">
        <f t="shared" si="3"/>
        <v>3349.5263429320003</v>
      </c>
      <c r="AD9" s="53">
        <f t="shared" si="3"/>
        <v>3414.776856106</v>
      </c>
      <c r="AE9" s="53">
        <f t="shared" si="3"/>
        <v>3480.0273692800006</v>
      </c>
      <c r="AF9" s="53">
        <f t="shared" si="3"/>
        <v>3545.277882454</v>
      </c>
      <c r="AG9" s="53">
        <f t="shared" si="3"/>
        <v>3610.5283956280005</v>
      </c>
      <c r="AH9" s="53">
        <f t="shared" si="3"/>
        <v>3675.7789088020004</v>
      </c>
      <c r="AI9" s="53">
        <f t="shared" si="3"/>
        <v>3741.0294219760003</v>
      </c>
      <c r="AJ9" s="53">
        <f t="shared" si="3"/>
        <v>3806.2799351500003</v>
      </c>
      <c r="AK9" s="53">
        <f t="shared" si="3"/>
        <v>3871.530448324</v>
      </c>
      <c r="AL9" s="53">
        <f t="shared" si="3"/>
        <v>3936.780961498</v>
      </c>
      <c r="AM9" s="53">
        <f t="shared" si="3"/>
        <v>4002.031474672</v>
      </c>
      <c r="AN9" s="53">
        <f t="shared" si="3"/>
        <v>4067.281987846001</v>
      </c>
      <c r="AO9" s="53">
        <f t="shared" si="3"/>
        <v>4110.782329962</v>
      </c>
      <c r="AP9" s="53">
        <f t="shared" si="3"/>
        <v>4154.282672078</v>
      </c>
      <c r="AQ9" s="53">
        <f t="shared" si="3"/>
        <v>4197.783014194</v>
      </c>
      <c r="AR9" s="53">
        <f t="shared" si="3"/>
        <v>4241.28335631</v>
      </c>
      <c r="AS9" s="53">
        <f t="shared" si="3"/>
        <v>4284.783698426</v>
      </c>
      <c r="AT9" s="48"/>
      <c r="AU9" s="49"/>
      <c r="AV9" s="49"/>
      <c r="AW9" s="49"/>
      <c r="AX9" s="50"/>
    </row>
    <row r="10" spans="2:50" ht="22.5" customHeight="1" thickBot="1">
      <c r="B10" s="54"/>
      <c r="C10" s="55"/>
      <c r="D10" s="56"/>
      <c r="E10" s="57"/>
      <c r="F10" s="56" t="s">
        <v>28</v>
      </c>
      <c r="G10" s="58"/>
      <c r="H10" s="58"/>
      <c r="I10" s="58">
        <f aca="true" t="shared" si="4" ref="I10:AS10">+I9*1.15</f>
        <v>1774.760619020009</v>
      </c>
      <c r="J10" s="58">
        <v>2371.56</v>
      </c>
      <c r="K10" s="104">
        <f>+J10*5.47%+J10</f>
        <v>2501.284332</v>
      </c>
      <c r="L10" s="58">
        <f t="shared" si="4"/>
        <v>2576.3077618201</v>
      </c>
      <c r="M10" s="58">
        <f t="shared" si="4"/>
        <v>2651.3458519702</v>
      </c>
      <c r="N10" s="58">
        <f t="shared" si="4"/>
        <v>2726.3839421203</v>
      </c>
      <c r="O10" s="58">
        <f t="shared" si="4"/>
        <v>2801.4220322704005</v>
      </c>
      <c r="P10" s="58">
        <f t="shared" si="4"/>
        <v>2876.4601224205</v>
      </c>
      <c r="Q10" s="58">
        <f t="shared" si="4"/>
        <v>2951.4982125706</v>
      </c>
      <c r="R10" s="58">
        <f t="shared" si="4"/>
        <v>3026.5363027207</v>
      </c>
      <c r="S10" s="58">
        <f t="shared" si="4"/>
        <v>3101.5743928708</v>
      </c>
      <c r="T10" s="58">
        <f t="shared" si="4"/>
        <v>3176.6124830208996</v>
      </c>
      <c r="U10" s="58">
        <f t="shared" si="4"/>
        <v>3251.650573171</v>
      </c>
      <c r="V10" s="58">
        <f t="shared" si="4"/>
        <v>3326.6886633211006</v>
      </c>
      <c r="W10" s="58">
        <f t="shared" si="4"/>
        <v>3401.7267534712005</v>
      </c>
      <c r="X10" s="58">
        <f t="shared" si="4"/>
        <v>3476.7648436213</v>
      </c>
      <c r="Y10" s="58">
        <f t="shared" si="4"/>
        <v>3551.8029337713997</v>
      </c>
      <c r="Z10" s="58">
        <f t="shared" si="4"/>
        <v>3626.8410239214995</v>
      </c>
      <c r="AA10" s="58">
        <f t="shared" si="4"/>
        <v>3701.8791140716003</v>
      </c>
      <c r="AB10" s="58">
        <f t="shared" si="4"/>
        <v>3776.9172042217</v>
      </c>
      <c r="AC10" s="58">
        <f t="shared" si="4"/>
        <v>3851.9552943718</v>
      </c>
      <c r="AD10" s="58">
        <f t="shared" si="4"/>
        <v>3926.9933845218998</v>
      </c>
      <c r="AE10" s="58">
        <f t="shared" si="4"/>
        <v>4002.0314746720005</v>
      </c>
      <c r="AF10" s="58">
        <f t="shared" si="4"/>
        <v>4077.0695648221</v>
      </c>
      <c r="AG10" s="58">
        <f t="shared" si="4"/>
        <v>4152.1076549722</v>
      </c>
      <c r="AH10" s="58">
        <f t="shared" si="4"/>
        <v>4227.1457451223005</v>
      </c>
      <c r="AI10" s="58">
        <f t="shared" si="4"/>
        <v>4302.1838352724</v>
      </c>
      <c r="AJ10" s="58">
        <f t="shared" si="4"/>
        <v>4377.2219254225</v>
      </c>
      <c r="AK10" s="58">
        <f t="shared" si="4"/>
        <v>4452.2600155725995</v>
      </c>
      <c r="AL10" s="58">
        <f t="shared" si="4"/>
        <v>4527.2981057227</v>
      </c>
      <c r="AM10" s="58">
        <f t="shared" si="4"/>
        <v>4602.3361958728</v>
      </c>
      <c r="AN10" s="58">
        <f t="shared" si="4"/>
        <v>4677.3742860229</v>
      </c>
      <c r="AO10" s="58">
        <f t="shared" si="4"/>
        <v>4727.3996794563</v>
      </c>
      <c r="AP10" s="58">
        <f t="shared" si="4"/>
        <v>4777.4250728897005</v>
      </c>
      <c r="AQ10" s="58">
        <f t="shared" si="4"/>
        <v>4827.4504663231</v>
      </c>
      <c r="AR10" s="58">
        <f t="shared" si="4"/>
        <v>4877.4758597565</v>
      </c>
      <c r="AS10" s="58">
        <f t="shared" si="4"/>
        <v>4927.5012531899</v>
      </c>
      <c r="AT10" s="59"/>
      <c r="AU10" s="60"/>
      <c r="AV10" s="60"/>
      <c r="AW10" s="60"/>
      <c r="AX10" s="61"/>
    </row>
    <row r="11" ht="15" thickTop="1"/>
    <row r="13" spans="2:40" ht="18" thickBot="1">
      <c r="B13" s="116" t="s">
        <v>30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7"/>
      <c r="AB13" s="117"/>
      <c r="AC13" s="117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50" ht="15" thickTop="1">
      <c r="B14" s="110" t="s">
        <v>1</v>
      </c>
      <c r="C14" s="3"/>
      <c r="D14" s="112" t="s">
        <v>2</v>
      </c>
      <c r="E14" s="4"/>
      <c r="F14" s="114" t="s">
        <v>3</v>
      </c>
      <c r="G14" s="5"/>
      <c r="H14" s="6"/>
      <c r="I14" s="7" t="s">
        <v>4</v>
      </c>
      <c r="J14" s="7" t="s">
        <v>40</v>
      </c>
      <c r="K14" s="8" t="s">
        <v>4</v>
      </c>
      <c r="L14" s="7" t="s">
        <v>5</v>
      </c>
      <c r="M14" s="7" t="s">
        <v>6</v>
      </c>
      <c r="N14" s="7" t="s">
        <v>7</v>
      </c>
      <c r="O14" s="7" t="s">
        <v>8</v>
      </c>
      <c r="P14" s="7" t="s">
        <v>9</v>
      </c>
      <c r="Q14" s="7" t="s">
        <v>10</v>
      </c>
      <c r="R14" s="7" t="s">
        <v>11</v>
      </c>
      <c r="S14" s="7" t="s">
        <v>12</v>
      </c>
      <c r="T14" s="7" t="s">
        <v>13</v>
      </c>
      <c r="U14" s="7" t="s">
        <v>14</v>
      </c>
      <c r="V14" s="7" t="s">
        <v>15</v>
      </c>
      <c r="W14" s="7" t="s">
        <v>16</v>
      </c>
      <c r="X14" s="7" t="s">
        <v>17</v>
      </c>
      <c r="Y14" s="7" t="s">
        <v>18</v>
      </c>
      <c r="Z14" s="7" t="s">
        <v>19</v>
      </c>
      <c r="AA14" s="9" t="s">
        <v>20</v>
      </c>
      <c r="AB14" s="9" t="s">
        <v>21</v>
      </c>
      <c r="AC14" s="9">
        <v>19</v>
      </c>
      <c r="AD14" s="9">
        <v>20</v>
      </c>
      <c r="AE14" s="9">
        <v>21</v>
      </c>
      <c r="AF14" s="9">
        <v>22</v>
      </c>
      <c r="AG14" s="9">
        <v>23</v>
      </c>
      <c r="AH14" s="9">
        <v>24</v>
      </c>
      <c r="AI14" s="9">
        <v>25</v>
      </c>
      <c r="AJ14" s="9">
        <v>26</v>
      </c>
      <c r="AK14" s="9">
        <v>27</v>
      </c>
      <c r="AL14" s="9">
        <v>28</v>
      </c>
      <c r="AM14" s="9">
        <v>29</v>
      </c>
      <c r="AN14" s="9">
        <v>30</v>
      </c>
      <c r="AO14" s="9">
        <v>31</v>
      </c>
      <c r="AP14" s="9">
        <v>32</v>
      </c>
      <c r="AQ14" s="9">
        <v>33</v>
      </c>
      <c r="AR14" s="9">
        <v>34</v>
      </c>
      <c r="AS14" s="9">
        <v>35</v>
      </c>
      <c r="AT14" s="9">
        <v>36</v>
      </c>
      <c r="AU14" s="9">
        <v>37</v>
      </c>
      <c r="AV14" s="10">
        <v>38</v>
      </c>
      <c r="AW14" s="9">
        <v>39</v>
      </c>
      <c r="AX14" s="11">
        <v>40</v>
      </c>
    </row>
    <row r="15" spans="2:50" ht="15" thickBot="1">
      <c r="B15" s="111"/>
      <c r="C15" s="13" t="s">
        <v>22</v>
      </c>
      <c r="D15" s="113"/>
      <c r="E15" s="14" t="s">
        <v>23</v>
      </c>
      <c r="F15" s="115"/>
      <c r="G15" s="63">
        <v>2016</v>
      </c>
      <c r="H15" s="63">
        <v>2018</v>
      </c>
      <c r="I15" s="64" t="s">
        <v>24</v>
      </c>
      <c r="J15" s="16">
        <v>2024</v>
      </c>
      <c r="K15" s="64"/>
      <c r="L15" s="17"/>
      <c r="M15" s="17"/>
      <c r="N15" s="17"/>
      <c r="O15" s="17"/>
      <c r="P15" s="17"/>
      <c r="Q15" s="17"/>
      <c r="R15" s="17"/>
      <c r="S15" s="18"/>
      <c r="T15" s="17"/>
      <c r="U15" s="17"/>
      <c r="V15" s="17"/>
      <c r="W15" s="17"/>
      <c r="X15" s="18"/>
      <c r="Y15" s="18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9"/>
      <c r="AX15" s="21"/>
    </row>
    <row r="16" spans="2:50" ht="15" thickTop="1">
      <c r="B16" s="65" t="s">
        <v>31</v>
      </c>
      <c r="C16" s="66">
        <v>4036004</v>
      </c>
      <c r="D16" s="67" t="s">
        <v>32</v>
      </c>
      <c r="E16" s="68"/>
      <c r="F16" s="69" t="s">
        <v>33</v>
      </c>
      <c r="G16" s="70">
        <v>942.54</v>
      </c>
      <c r="H16" s="70">
        <v>1158.8628239999998</v>
      </c>
      <c r="I16" s="70">
        <v>2550.861328092</v>
      </c>
      <c r="J16" s="70">
        <v>3408.64</v>
      </c>
      <c r="K16" s="107">
        <f>+J16*5.47%+J16</f>
        <v>3595.092608</v>
      </c>
      <c r="L16" s="70">
        <f>K16*1.03</f>
        <v>3702.94538624</v>
      </c>
      <c r="M16" s="70">
        <f>$K$16*1.06</f>
        <v>3810.79816448</v>
      </c>
      <c r="N16" s="70">
        <f>$K$16*1.09</f>
        <v>3918.6509427200003</v>
      </c>
      <c r="O16" s="70">
        <f>$K$16*1.12</f>
        <v>4026.5037209600005</v>
      </c>
      <c r="P16" s="70">
        <f>$K$16*1.15</f>
        <v>4134.356499199999</v>
      </c>
      <c r="Q16" s="70">
        <f>$K$16*1.18</f>
        <v>4242.20927744</v>
      </c>
      <c r="R16" s="70">
        <f>$K$16*1.21</f>
        <v>4350.0620556799995</v>
      </c>
      <c r="S16" s="70">
        <f>$K$16*1.24</f>
        <v>4457.91483392</v>
      </c>
      <c r="T16" s="70">
        <f>$K$16*1.27</f>
        <v>4565.76761216</v>
      </c>
      <c r="U16" s="70">
        <f>$K$16*1.3</f>
        <v>4673.6203904</v>
      </c>
      <c r="V16" s="70">
        <f>$K$16*1.33</f>
        <v>4781.47316864</v>
      </c>
      <c r="W16" s="70">
        <f>$K$16*1.36</f>
        <v>4889.325946880001</v>
      </c>
      <c r="X16" s="70">
        <f>$K$16*1.39</f>
        <v>4997.178725119999</v>
      </c>
      <c r="Y16" s="70">
        <f>$K$16*1.42</f>
        <v>5105.03150336</v>
      </c>
      <c r="Z16" s="70">
        <f>$K$16*1.45</f>
        <v>5212.8842816</v>
      </c>
      <c r="AA16" s="70">
        <f>$K$16*1.48</f>
        <v>5320.73705984</v>
      </c>
      <c r="AB16" s="70">
        <f>$K$16*1.51</f>
        <v>5428.58983808</v>
      </c>
      <c r="AC16" s="70">
        <f>$K$16*1.54</f>
        <v>5536.44261632</v>
      </c>
      <c r="AD16" s="70">
        <f>$K$16*1.57</f>
        <v>5644.29539456</v>
      </c>
      <c r="AE16" s="70">
        <f>$K$16*1.6</f>
        <v>5752.1481728</v>
      </c>
      <c r="AF16" s="70">
        <f>$K$16*1.63</f>
        <v>5860.00095104</v>
      </c>
      <c r="AG16" s="70">
        <f>$K$16*1.66</f>
        <v>5967.853729279999</v>
      </c>
      <c r="AH16" s="70">
        <f>$K$16*1.69</f>
        <v>6075.70650752</v>
      </c>
      <c r="AI16" s="70">
        <f>$K$16*1.72</f>
        <v>6183.5592857599995</v>
      </c>
      <c r="AJ16" s="70">
        <f>$K$16*1.75</f>
        <v>6291.412064</v>
      </c>
      <c r="AK16" s="70">
        <f>$K$16*1.78</f>
        <v>6399.26484224</v>
      </c>
      <c r="AL16" s="70">
        <f>$K$16*1.81</f>
        <v>6507.11762048</v>
      </c>
      <c r="AM16" s="70">
        <f>$K$16*1.84</f>
        <v>6614.97039872</v>
      </c>
      <c r="AN16" s="70">
        <f>$K$16*1.87</f>
        <v>6722.823176960001</v>
      </c>
      <c r="AO16" s="70">
        <f>$K$16*1.89</f>
        <v>6794.72502912</v>
      </c>
      <c r="AP16" s="70">
        <f>$K$16*1.91</f>
        <v>6866.62688128</v>
      </c>
      <c r="AQ16" s="70">
        <f>$K$16*1.93</f>
        <v>6938.52873344</v>
      </c>
      <c r="AR16" s="70">
        <f>$K$16*1.95</f>
        <v>7010.4305856</v>
      </c>
      <c r="AS16" s="70">
        <f>$K$16*1.97</f>
        <v>7082.33243776</v>
      </c>
      <c r="AT16" s="71"/>
      <c r="AU16" s="72"/>
      <c r="AV16" s="72"/>
      <c r="AW16" s="72"/>
      <c r="AX16" s="73"/>
    </row>
    <row r="17" spans="2:50" ht="14.25">
      <c r="B17" s="74"/>
      <c r="C17" s="75"/>
      <c r="D17" s="76"/>
      <c r="E17" s="77"/>
      <c r="F17" s="78" t="s">
        <v>34</v>
      </c>
      <c r="G17" s="79">
        <v>942.54</v>
      </c>
      <c r="H17" s="79">
        <v>1158.8628239999998</v>
      </c>
      <c r="I17" s="79">
        <f>2805.9474609012</f>
        <v>2805.9474609012</v>
      </c>
      <c r="J17" s="79">
        <v>3749.49</v>
      </c>
      <c r="K17" s="108">
        <f>+J17*5.47%+J17</f>
        <v>3954.587103</v>
      </c>
      <c r="L17" s="79">
        <f>L16*1.1</f>
        <v>4073.2399248640004</v>
      </c>
      <c r="M17" s="79">
        <f>M16*1.1</f>
        <v>4191.877980928</v>
      </c>
      <c r="N17" s="79">
        <f aca="true" t="shared" si="5" ref="N17:AS17">N16*1.1</f>
        <v>4310.516036992</v>
      </c>
      <c r="O17" s="79">
        <f t="shared" si="5"/>
        <v>4429.154093056</v>
      </c>
      <c r="P17" s="79">
        <f t="shared" si="5"/>
        <v>4547.7921491199995</v>
      </c>
      <c r="Q17" s="79">
        <f t="shared" si="5"/>
        <v>4666.430205184</v>
      </c>
      <c r="R17" s="79">
        <f t="shared" si="5"/>
        <v>4785.0682612479995</v>
      </c>
      <c r="S17" s="79">
        <f t="shared" si="5"/>
        <v>4903.7063173120005</v>
      </c>
      <c r="T17" s="79">
        <f t="shared" si="5"/>
        <v>5022.3443733760005</v>
      </c>
      <c r="U17" s="79">
        <f t="shared" si="5"/>
        <v>5140.9824294400005</v>
      </c>
      <c r="V17" s="79">
        <f t="shared" si="5"/>
        <v>5259.6204855040005</v>
      </c>
      <c r="W17" s="79">
        <f t="shared" si="5"/>
        <v>5378.258541568001</v>
      </c>
      <c r="X17" s="79">
        <f t="shared" si="5"/>
        <v>5496.896597632</v>
      </c>
      <c r="Y17" s="79">
        <f t="shared" si="5"/>
        <v>5615.5346536960005</v>
      </c>
      <c r="Z17" s="79">
        <f t="shared" si="5"/>
        <v>5734.1727097600005</v>
      </c>
      <c r="AA17" s="79">
        <f t="shared" si="5"/>
        <v>5852.810765824001</v>
      </c>
      <c r="AB17" s="79">
        <f t="shared" si="5"/>
        <v>5971.448821888001</v>
      </c>
      <c r="AC17" s="79">
        <f t="shared" si="5"/>
        <v>6090.086877952</v>
      </c>
      <c r="AD17" s="79">
        <f t="shared" si="5"/>
        <v>6208.724934016001</v>
      </c>
      <c r="AE17" s="79">
        <f t="shared" si="5"/>
        <v>6327.362990080001</v>
      </c>
      <c r="AF17" s="79">
        <f t="shared" si="5"/>
        <v>6446.001046144</v>
      </c>
      <c r="AG17" s="79">
        <f t="shared" si="5"/>
        <v>6564.639102208</v>
      </c>
      <c r="AH17" s="79">
        <f t="shared" si="5"/>
        <v>6683.277158272001</v>
      </c>
      <c r="AI17" s="79">
        <f t="shared" si="5"/>
        <v>6801.915214336</v>
      </c>
      <c r="AJ17" s="79">
        <f t="shared" si="5"/>
        <v>6920.553270400001</v>
      </c>
      <c r="AK17" s="79">
        <f t="shared" si="5"/>
        <v>7039.191326464001</v>
      </c>
      <c r="AL17" s="79">
        <f t="shared" si="5"/>
        <v>7157.829382528001</v>
      </c>
      <c r="AM17" s="79">
        <f t="shared" si="5"/>
        <v>7276.467438592001</v>
      </c>
      <c r="AN17" s="79">
        <f t="shared" si="5"/>
        <v>7395.105494656002</v>
      </c>
      <c r="AO17" s="79">
        <f t="shared" si="5"/>
        <v>7474.197532032001</v>
      </c>
      <c r="AP17" s="79">
        <f t="shared" si="5"/>
        <v>7553.289569408001</v>
      </c>
      <c r="AQ17" s="79">
        <f t="shared" si="5"/>
        <v>7632.381606784001</v>
      </c>
      <c r="AR17" s="79">
        <f t="shared" si="5"/>
        <v>7711.473644160001</v>
      </c>
      <c r="AS17" s="79">
        <f t="shared" si="5"/>
        <v>7790.565681536001</v>
      </c>
      <c r="AT17" s="80"/>
      <c r="AU17" s="81"/>
      <c r="AV17" s="81"/>
      <c r="AW17" s="81"/>
      <c r="AX17" s="82"/>
    </row>
    <row r="18" spans="2:50" ht="15" thickBot="1">
      <c r="B18" s="83"/>
      <c r="C18" s="84"/>
      <c r="D18" s="85"/>
      <c r="E18" s="86"/>
      <c r="F18" s="85" t="s">
        <v>35</v>
      </c>
      <c r="G18" s="87">
        <v>942.54</v>
      </c>
      <c r="H18" s="87">
        <v>1158.8628239999998</v>
      </c>
      <c r="I18" s="87">
        <f>3086.54220699132-0.01</f>
        <v>3086.53220699132</v>
      </c>
      <c r="J18" s="87">
        <v>4124.44</v>
      </c>
      <c r="K18" s="109">
        <f>+J18*5.47%+J18</f>
        <v>4350.046867999999</v>
      </c>
      <c r="L18" s="87">
        <f>L16*1.21</f>
        <v>4480.5639173504</v>
      </c>
      <c r="M18" s="87">
        <f aca="true" t="shared" si="6" ref="M18:AS18">M16*1.21</f>
        <v>4611.0657790208</v>
      </c>
      <c r="N18" s="87">
        <f t="shared" si="6"/>
        <v>4741.5676406912</v>
      </c>
      <c r="O18" s="87">
        <f t="shared" si="6"/>
        <v>4872.069502361601</v>
      </c>
      <c r="P18" s="87">
        <f t="shared" si="6"/>
        <v>5002.571364031999</v>
      </c>
      <c r="Q18" s="87">
        <f t="shared" si="6"/>
        <v>5133.073225702399</v>
      </c>
      <c r="R18" s="87">
        <f t="shared" si="6"/>
        <v>5263.575087372799</v>
      </c>
      <c r="S18" s="87">
        <f t="shared" si="6"/>
        <v>5394.0769490432</v>
      </c>
      <c r="T18" s="87">
        <f t="shared" si="6"/>
        <v>5524.5788107135995</v>
      </c>
      <c r="U18" s="87">
        <f t="shared" si="6"/>
        <v>5655.0806723840005</v>
      </c>
      <c r="V18" s="87">
        <f t="shared" si="6"/>
        <v>5785.5825340544</v>
      </c>
      <c r="W18" s="87">
        <f t="shared" si="6"/>
        <v>5916.084395724801</v>
      </c>
      <c r="X18" s="87">
        <f t="shared" si="6"/>
        <v>6046.586257395199</v>
      </c>
      <c r="Y18" s="87">
        <f t="shared" si="6"/>
        <v>6177.0881190656</v>
      </c>
      <c r="Z18" s="87">
        <f t="shared" si="6"/>
        <v>6307.589980735999</v>
      </c>
      <c r="AA18" s="87">
        <f t="shared" si="6"/>
        <v>6438.0918424064</v>
      </c>
      <c r="AB18" s="87">
        <f t="shared" si="6"/>
        <v>6568.593704076799</v>
      </c>
      <c r="AC18" s="87">
        <f t="shared" si="6"/>
        <v>6699.0955657471995</v>
      </c>
      <c r="AD18" s="87">
        <f t="shared" si="6"/>
        <v>6829.5974274176</v>
      </c>
      <c r="AE18" s="87">
        <f t="shared" si="6"/>
        <v>6960.099289088</v>
      </c>
      <c r="AF18" s="87">
        <f t="shared" si="6"/>
        <v>7090.601150758399</v>
      </c>
      <c r="AG18" s="87">
        <f t="shared" si="6"/>
        <v>7221.103012428799</v>
      </c>
      <c r="AH18" s="87">
        <f t="shared" si="6"/>
        <v>7351.604874099199</v>
      </c>
      <c r="AI18" s="87">
        <f t="shared" si="6"/>
        <v>7482.106735769599</v>
      </c>
      <c r="AJ18" s="87">
        <f t="shared" si="6"/>
        <v>7612.60859744</v>
      </c>
      <c r="AK18" s="87">
        <f t="shared" si="6"/>
        <v>7743.1104591103995</v>
      </c>
      <c r="AL18" s="87">
        <f t="shared" si="6"/>
        <v>7873.6123207808005</v>
      </c>
      <c r="AM18" s="87">
        <f t="shared" si="6"/>
        <v>8004.1141824512</v>
      </c>
      <c r="AN18" s="87">
        <f t="shared" si="6"/>
        <v>8134.616044121601</v>
      </c>
      <c r="AO18" s="87">
        <f t="shared" si="6"/>
        <v>8221.6172852352</v>
      </c>
      <c r="AP18" s="87">
        <f t="shared" si="6"/>
        <v>8308.6185263488</v>
      </c>
      <c r="AQ18" s="87">
        <f t="shared" si="6"/>
        <v>8395.6197674624</v>
      </c>
      <c r="AR18" s="87">
        <f t="shared" si="6"/>
        <v>8482.621008576</v>
      </c>
      <c r="AS18" s="87">
        <f t="shared" si="6"/>
        <v>8569.6222496896</v>
      </c>
      <c r="AT18" s="88"/>
      <c r="AU18" s="89"/>
      <c r="AV18" s="89"/>
      <c r="AW18" s="89"/>
      <c r="AX18" s="90"/>
    </row>
    <row r="19" ht="15" thickTop="1"/>
    <row r="20" ht="14.25" hidden="1"/>
    <row r="21" spans="2:40" ht="18" hidden="1" thickBot="1">
      <c r="B21" s="116" t="s">
        <v>36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117"/>
      <c r="AC21" s="117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50" ht="15" hidden="1" thickTop="1">
      <c r="B22" s="110" t="s">
        <v>1</v>
      </c>
      <c r="C22" s="3"/>
      <c r="D22" s="112" t="s">
        <v>2</v>
      </c>
      <c r="E22" s="4"/>
      <c r="F22" s="114" t="s">
        <v>3</v>
      </c>
      <c r="G22" s="5"/>
      <c r="H22" s="6"/>
      <c r="I22" s="7" t="s">
        <v>4</v>
      </c>
      <c r="J22" s="7"/>
      <c r="K22" s="8" t="s">
        <v>4</v>
      </c>
      <c r="L22" s="7" t="s">
        <v>5</v>
      </c>
      <c r="M22" s="7" t="s">
        <v>6</v>
      </c>
      <c r="N22" s="7" t="s">
        <v>7</v>
      </c>
      <c r="O22" s="7" t="s">
        <v>8</v>
      </c>
      <c r="P22" s="7" t="s">
        <v>9</v>
      </c>
      <c r="Q22" s="7" t="s">
        <v>10</v>
      </c>
      <c r="R22" s="7" t="s">
        <v>11</v>
      </c>
      <c r="S22" s="7" t="s">
        <v>12</v>
      </c>
      <c r="T22" s="7" t="s">
        <v>13</v>
      </c>
      <c r="U22" s="7" t="s">
        <v>14</v>
      </c>
      <c r="V22" s="7" t="s">
        <v>15</v>
      </c>
      <c r="W22" s="7" t="s">
        <v>16</v>
      </c>
      <c r="X22" s="7" t="s">
        <v>17</v>
      </c>
      <c r="Y22" s="7" t="s">
        <v>18</v>
      </c>
      <c r="Z22" s="7" t="s">
        <v>19</v>
      </c>
      <c r="AA22" s="9" t="s">
        <v>20</v>
      </c>
      <c r="AB22" s="9" t="s">
        <v>21</v>
      </c>
      <c r="AC22" s="9">
        <v>19</v>
      </c>
      <c r="AD22" s="9">
        <v>20</v>
      </c>
      <c r="AE22" s="9">
        <v>21</v>
      </c>
      <c r="AF22" s="9">
        <v>22</v>
      </c>
      <c r="AG22" s="9">
        <v>23</v>
      </c>
      <c r="AH22" s="9">
        <v>24</v>
      </c>
      <c r="AI22" s="9">
        <v>25</v>
      </c>
      <c r="AJ22" s="9">
        <v>26</v>
      </c>
      <c r="AK22" s="9">
        <v>27</v>
      </c>
      <c r="AL22" s="9">
        <v>28</v>
      </c>
      <c r="AM22" s="9">
        <v>29</v>
      </c>
      <c r="AN22" s="9">
        <v>30</v>
      </c>
      <c r="AO22" s="9">
        <v>31</v>
      </c>
      <c r="AP22" s="9">
        <v>32</v>
      </c>
      <c r="AQ22" s="9">
        <v>33</v>
      </c>
      <c r="AR22" s="9">
        <v>34</v>
      </c>
      <c r="AS22" s="9">
        <v>35</v>
      </c>
      <c r="AT22" s="9">
        <v>36</v>
      </c>
      <c r="AU22" s="9">
        <v>37</v>
      </c>
      <c r="AV22" s="10">
        <v>38</v>
      </c>
      <c r="AW22" s="9">
        <v>39</v>
      </c>
      <c r="AX22" s="11">
        <v>40</v>
      </c>
    </row>
    <row r="23" spans="2:50" ht="15" hidden="1" thickBot="1">
      <c r="B23" s="111"/>
      <c r="C23" s="13" t="s">
        <v>22</v>
      </c>
      <c r="D23" s="113"/>
      <c r="E23" s="14" t="s">
        <v>23</v>
      </c>
      <c r="F23" s="115"/>
      <c r="G23" s="63">
        <v>2016</v>
      </c>
      <c r="H23" s="63">
        <v>2018</v>
      </c>
      <c r="I23" s="17" t="s">
        <v>24</v>
      </c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7"/>
      <c r="U23" s="17"/>
      <c r="V23" s="17"/>
      <c r="W23" s="17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9"/>
      <c r="AX23" s="21"/>
    </row>
    <row r="24" spans="2:50" ht="15.75" hidden="1" thickBot="1" thickTop="1">
      <c r="B24" s="91" t="s">
        <v>37</v>
      </c>
      <c r="C24" s="92">
        <v>3036005</v>
      </c>
      <c r="D24" s="93" t="s">
        <v>38</v>
      </c>
      <c r="E24" s="94"/>
      <c r="F24" s="95" t="s">
        <v>39</v>
      </c>
      <c r="G24" s="96">
        <v>942.54</v>
      </c>
      <c r="H24" s="96">
        <v>1158.8628239999998</v>
      </c>
      <c r="I24" s="96">
        <v>1275.4306640460002</v>
      </c>
      <c r="J24" s="96"/>
      <c r="K24" s="96"/>
      <c r="L24" s="96">
        <f>I24*1.03</f>
        <v>1313.6935839673802</v>
      </c>
      <c r="M24" s="96">
        <f>$I$24*1.06</f>
        <v>1351.9565038887602</v>
      </c>
      <c r="N24" s="96">
        <f>$I$24*1.09</f>
        <v>1390.2194238101404</v>
      </c>
      <c r="O24" s="96">
        <f>$I$24*1.12</f>
        <v>1428.4823437315204</v>
      </c>
      <c r="P24" s="96">
        <f>$I$24*1.15</f>
        <v>1466.7452636529001</v>
      </c>
      <c r="Q24" s="96">
        <f>$I$24*1.18</f>
        <v>1505.00818357428</v>
      </c>
      <c r="R24" s="96">
        <f>$I$24*1.21</f>
        <v>1543.27110349566</v>
      </c>
      <c r="S24" s="96">
        <f>$I$24*1.24</f>
        <v>1581.5340234170403</v>
      </c>
      <c r="T24" s="96">
        <f>$I$24*1.27</f>
        <v>1619.7969433384203</v>
      </c>
      <c r="U24" s="96">
        <f>$I$24*1.3</f>
        <v>1658.0598632598003</v>
      </c>
      <c r="V24" s="96">
        <f>$I$24*1.33</f>
        <v>1696.3227831811803</v>
      </c>
      <c r="W24" s="96">
        <f>$I$24*1.36</f>
        <v>1734.5857031025603</v>
      </c>
      <c r="X24" s="96">
        <f>$I$24*1.39</f>
        <v>1772.84862302394</v>
      </c>
      <c r="Y24" s="96">
        <f>$I$24*1.42</f>
        <v>1811.1115429453203</v>
      </c>
      <c r="Z24" s="96">
        <f>$I$24*1.45</f>
        <v>1849.3744628667002</v>
      </c>
      <c r="AA24" s="96">
        <f>$I$24*1.48</f>
        <v>1887.6373827880802</v>
      </c>
      <c r="AB24" s="96">
        <f>$I$24*1.51</f>
        <v>1925.9003027094602</v>
      </c>
      <c r="AC24" s="96">
        <f>$I$24*1.54</f>
        <v>1964.1632226308402</v>
      </c>
      <c r="AD24" s="96">
        <f>$I$24*1.57</f>
        <v>2002.4261425522204</v>
      </c>
      <c r="AE24" s="96">
        <f>$I$24*1.6</f>
        <v>2040.6890624736004</v>
      </c>
      <c r="AF24" s="96">
        <f>$I$24*1.63</f>
        <v>2078.95198239498</v>
      </c>
      <c r="AG24" s="96">
        <f>$I$24*1.66</f>
        <v>2117.21490231636</v>
      </c>
      <c r="AH24" s="96">
        <f>$I$24*1.69</f>
        <v>2155.4778222377404</v>
      </c>
      <c r="AI24" s="96">
        <f>$I$24*1.72</f>
        <v>2193.74074215912</v>
      </c>
      <c r="AJ24" s="96">
        <f>$I$24*1.75</f>
        <v>2232.0036620805004</v>
      </c>
      <c r="AK24" s="96">
        <f>$I$24*1.78</f>
        <v>2270.26658200188</v>
      </c>
      <c r="AL24" s="96">
        <f>$I$24*1.81</f>
        <v>2308.5295019232603</v>
      </c>
      <c r="AM24" s="96">
        <f>$I$24*1.84</f>
        <v>2346.7924218446406</v>
      </c>
      <c r="AN24" s="96">
        <f>$I$24*1.87</f>
        <v>2385.0553417660203</v>
      </c>
      <c r="AO24" s="96">
        <f>$I$24*1.89</f>
        <v>2410.56395504694</v>
      </c>
      <c r="AP24" s="96">
        <f>$I$24*1.91</f>
        <v>2436.07256832786</v>
      </c>
      <c r="AQ24" s="96">
        <f>$I$24*1.93</f>
        <v>2461.5811816087803</v>
      </c>
      <c r="AR24" s="96">
        <f>$I$24*1.95</f>
        <v>2487.0897948897004</v>
      </c>
      <c r="AS24" s="96">
        <f>$I$24*1.97</f>
        <v>2512.59840817062</v>
      </c>
      <c r="AT24" s="97"/>
      <c r="AU24" s="98"/>
      <c r="AV24" s="98"/>
      <c r="AW24" s="98"/>
      <c r="AX24" s="99"/>
    </row>
    <row r="25" spans="2:5" ht="15" hidden="1" thickTop="1">
      <c r="B25" s="100"/>
      <c r="E25" s="2"/>
    </row>
    <row r="26" ht="14.25" hidden="1">
      <c r="E26" s="2"/>
    </row>
    <row r="27" ht="14.25">
      <c r="E27" s="2"/>
    </row>
    <row r="30" spans="2:5" ht="14.25">
      <c r="B30" s="101"/>
      <c r="E30" s="2"/>
    </row>
    <row r="31" ht="14.25">
      <c r="E31" s="2"/>
    </row>
    <row r="32" ht="14.25">
      <c r="E32" s="2"/>
    </row>
    <row r="33" ht="14.25">
      <c r="E33" s="2"/>
    </row>
    <row r="34" ht="14.25">
      <c r="E34" s="2"/>
    </row>
    <row r="35" ht="14.25">
      <c r="E35" s="2"/>
    </row>
  </sheetData>
  <sheetProtection password="D2D9" sheet="1" formatCells="0" formatColumns="0" formatRows="0" insertColumns="0" insertRows="0" insertHyperlinks="0" deleteColumns="0" deleteRows="0" sort="0" autoFilter="0" pivotTables="0"/>
  <mergeCells count="15">
    <mergeCell ref="B2:Z2"/>
    <mergeCell ref="AA2:AC2"/>
    <mergeCell ref="B3:B4"/>
    <mergeCell ref="D3:D4"/>
    <mergeCell ref="F3:F4"/>
    <mergeCell ref="B13:Z13"/>
    <mergeCell ref="AA13:AC13"/>
    <mergeCell ref="B14:B15"/>
    <mergeCell ref="D14:D15"/>
    <mergeCell ref="F14:F15"/>
    <mergeCell ref="B21:Z21"/>
    <mergeCell ref="AA21:AC21"/>
    <mergeCell ref="B22:B23"/>
    <mergeCell ref="D22:D23"/>
    <mergeCell ref="F22:F23"/>
  </mergeCells>
  <conditionalFormatting sqref="G8:H10 H16:AS18 G5:AS7">
    <cfRule type="cellIs" priority="6" dxfId="0" operator="equal" stopIfTrue="1">
      <formula>465</formula>
    </cfRule>
  </conditionalFormatting>
  <conditionalFormatting sqref="G16:G18">
    <cfRule type="cellIs" priority="5" dxfId="0" operator="equal" stopIfTrue="1">
      <formula>465</formula>
    </cfRule>
  </conditionalFormatting>
  <conditionalFormatting sqref="H24:AS24">
    <cfRule type="cellIs" priority="4" dxfId="0" operator="equal" stopIfTrue="1">
      <formula>465</formula>
    </cfRule>
  </conditionalFormatting>
  <conditionalFormatting sqref="G24">
    <cfRule type="cellIs" priority="3" dxfId="0" operator="equal" stopIfTrue="1">
      <formula>465</formula>
    </cfRule>
  </conditionalFormatting>
  <conditionalFormatting sqref="I9:AS10">
    <cfRule type="cellIs" priority="2" dxfId="0" operator="equal" stopIfTrue="1">
      <formula>465</formula>
    </cfRule>
  </conditionalFormatting>
  <conditionalFormatting sqref="I8:AS8">
    <cfRule type="cellIs" priority="1" dxfId="0" operator="equal" stopIfTrue="1">
      <formula>465</formula>
    </cfRule>
  </conditionalFormatting>
  <printOptions gridLines="1"/>
  <pageMargins left="0.11811023622047245" right="0.11811023622047245" top="0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Luis Malinovski Padilha</dc:creator>
  <cp:keywords/>
  <dc:description/>
  <cp:lastModifiedBy>Fabio Luis Malinovski Padilha</cp:lastModifiedBy>
  <dcterms:created xsi:type="dcterms:W3CDTF">2024-03-12T12:20:39Z</dcterms:created>
  <dcterms:modified xsi:type="dcterms:W3CDTF">2024-03-18T16:31:30Z</dcterms:modified>
  <cp:category/>
  <cp:version/>
  <cp:contentType/>
  <cp:contentStatus/>
</cp:coreProperties>
</file>